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'Sheet1'!$A$1:$M$80</definedName>
  </definedNames>
  <calcPr fullCalcOnLoad="1"/>
</workbook>
</file>

<file path=xl/sharedStrings.xml><?xml version="1.0" encoding="utf-8"?>
<sst xmlns="http://schemas.openxmlformats.org/spreadsheetml/2006/main" count="189" uniqueCount="175">
  <si>
    <t>Purchased Equipment Cost</t>
  </si>
  <si>
    <t>a.  Control Device</t>
  </si>
  <si>
    <t>b.  Auxiliary Equipment</t>
  </si>
  <si>
    <t>c.  Instruments  &amp; Controls</t>
  </si>
  <si>
    <t>d.  Sales Taxes</t>
  </si>
  <si>
    <t>e.  Freight</t>
  </si>
  <si>
    <t>Base Price (C)</t>
  </si>
  <si>
    <t>Direct Installation Costs</t>
  </si>
  <si>
    <t>f.  Foundation</t>
  </si>
  <si>
    <t>g.  Handling &amp; Erection</t>
  </si>
  <si>
    <t>h.  Electrical</t>
  </si>
  <si>
    <t>i.  Piping</t>
  </si>
  <si>
    <t>j.  Insulation</t>
  </si>
  <si>
    <t>k.  Painting</t>
  </si>
  <si>
    <t>l.  Site Preparation</t>
  </si>
  <si>
    <t>m.  Facilities &amp; Buildings</t>
  </si>
  <si>
    <t>n.  Retrofit Costs</t>
  </si>
  <si>
    <t>Indirect Installation Costs</t>
  </si>
  <si>
    <t>p.  Construction &amp; Field Expenses</t>
  </si>
  <si>
    <t>o.  Engineering &amp; Supervision</t>
  </si>
  <si>
    <t>q.  Contractor Fees</t>
  </si>
  <si>
    <t>r.  Start-up</t>
  </si>
  <si>
    <t>s.  Performance Tests</t>
  </si>
  <si>
    <t>t.  Contingencies</t>
  </si>
  <si>
    <t>Capital Cost</t>
  </si>
  <si>
    <t>Direct Annual Costs</t>
  </si>
  <si>
    <t>Direct Labor Costs (D)</t>
  </si>
  <si>
    <t>e.  Replacement Parts</t>
  </si>
  <si>
    <t>f.  Fuel - Natural Gas</t>
  </si>
  <si>
    <t>g.  Electricity</t>
  </si>
  <si>
    <t>Total Direct Annual Costs</t>
  </si>
  <si>
    <t>Indirect Annual Costs</t>
  </si>
  <si>
    <t>h.  Overhead</t>
  </si>
  <si>
    <t>i.  Administrative Charges</t>
  </si>
  <si>
    <t>j.  Property Taxes</t>
  </si>
  <si>
    <t>k.  Insurance</t>
  </si>
  <si>
    <t>0.10(a+b)</t>
  </si>
  <si>
    <t>0.13(a+b)</t>
  </si>
  <si>
    <t>0.05(a+b)</t>
  </si>
  <si>
    <t>1.28(a+b)</t>
  </si>
  <si>
    <t>0.08(C)</t>
  </si>
  <si>
    <t>0.04(C)</t>
  </si>
  <si>
    <t>0.01(C)</t>
  </si>
  <si>
    <t>as req'd</t>
  </si>
  <si>
    <t>0.10(C)</t>
  </si>
  <si>
    <t>0.03(C)</t>
  </si>
  <si>
    <t>Total Direct Costs (DC)</t>
  </si>
  <si>
    <t>Total Indirect Costs (IC)</t>
  </si>
  <si>
    <t>Total Capital Cost (TCI)</t>
  </si>
  <si>
    <t>Capital Recovery Cost (CRC)</t>
  </si>
  <si>
    <t>Total Annualized Costs (TAC)</t>
  </si>
  <si>
    <t>Tonne/year</t>
  </si>
  <si>
    <t>Total Resource Effectiveness (TRE) Value</t>
  </si>
  <si>
    <t>estimated</t>
  </si>
  <si>
    <t>0.13587(TCI)</t>
  </si>
  <si>
    <t>C + DC + IC</t>
  </si>
  <si>
    <t>0.6D</t>
  </si>
  <si>
    <t>0.02TCI</t>
  </si>
  <si>
    <t>0.01TCI</t>
  </si>
  <si>
    <t>Total Annual O &amp; M Costs (OMC)</t>
  </si>
  <si>
    <t>a.  Operating Labor (OL)</t>
  </si>
  <si>
    <t>c.  Maintenance Labor (ML)</t>
  </si>
  <si>
    <t>d.  Maintenance Materials (MM)</t>
  </si>
  <si>
    <t>MM = ML</t>
  </si>
  <si>
    <t>b.  Supervisory Labor (SL)</t>
  </si>
  <si>
    <t>0.15(OL)</t>
  </si>
  <si>
    <t>as required</t>
  </si>
  <si>
    <t>$7.00/MCF</t>
  </si>
  <si>
    <t>$0.08/KWH</t>
  </si>
  <si>
    <t>Summation of direct equipment purchase costs, a. through e.</t>
  </si>
  <si>
    <t>a.  Base thermal regenerative oxidizer without supporting equipment.</t>
  </si>
  <si>
    <t>b.  Hoods/enclosures, ductwork, fans, valves, exhaust stack, etc. req'd to enable device to operate.</t>
  </si>
  <si>
    <t>d.  Ontario sales taxes on equipment purchases (GST &amp; PST).</t>
  </si>
  <si>
    <t>e.  Cost of shipping equipment from manufacturer to installation site.</t>
  </si>
  <si>
    <t>Comments</t>
  </si>
  <si>
    <t>f.  Supports for control equipment including footings, structural columns, trusses, etc.</t>
  </si>
  <si>
    <t xml:space="preserve">h.  Electrical connections to power supply, including wiring, buses, switches, transformers, etc. </t>
  </si>
  <si>
    <t>i.  Natural gas, water, compressed air, drain lines, fire supression, etc. supply and installation.</t>
  </si>
  <si>
    <t>j.  Insulation of ducts and pipes (and occassionally the control device) for thermal efficiency.</t>
  </si>
  <si>
    <t>k.  Corrosion protection for structural elements, ducts, pipes, tanks and control device may be needed.</t>
  </si>
  <si>
    <t>TAC/RRC</t>
  </si>
  <si>
    <t>n.  Potentially major costs associated with adding controls to existing facilities.</t>
  </si>
  <si>
    <t>Summation of installation costs, f. through n.</t>
  </si>
  <si>
    <t>o.  Design and field support for installation.</t>
  </si>
  <si>
    <t>p.  Costs associated with personnel and miscellaneous to fully install and commission equipment.</t>
  </si>
  <si>
    <t>q.  Profit.</t>
  </si>
  <si>
    <t>Summation of indirect installation costs, o. through t.</t>
  </si>
  <si>
    <t>Summation of total equipment costs and direct &amp;indirect installation costs.</t>
  </si>
  <si>
    <t>Equal uniform annual cash flow of capital investment @ 6.0% over 10-years.</t>
  </si>
  <si>
    <t>a.  Annual operating labor hours for the control system multiplied by hourly labor cost.</t>
  </si>
  <si>
    <t>b.  Supervision of operating labor.</t>
  </si>
  <si>
    <t>d.  Cost of supplies to maintain equipment such as oil &amp; grease, hand tools, nuts &amp; bolts, etc.</t>
  </si>
  <si>
    <t>Summarion of annual O&amp;M costs, a. through d.</t>
  </si>
  <si>
    <t>Annual Operating and Maintenance (O&amp;M) Cost</t>
  </si>
  <si>
    <t>h.  Facility organizational overhead costs for operating labor and maintenance.</t>
  </si>
  <si>
    <t>i.  Covers sales, R&amp;D, accounting, and other home office expenses (not facility overhead).</t>
  </si>
  <si>
    <t>k.  Loss protection.</t>
  </si>
  <si>
    <t>j.  Property tax associated with the air pollution control equipment.</t>
  </si>
  <si>
    <t>Summation of direct and indirect annual O &amp; M costs, a. through k.</t>
  </si>
  <si>
    <t>c.  Electronic/computerized instruments and process/emission monitors req'd to control operation of device.</t>
  </si>
  <si>
    <t>g.  Equipment delivery, staging &amp; installing using cranes, helicopters, etc, including welding, bolting &amp; fitting.</t>
  </si>
  <si>
    <t>l.  General clearing &amp; preparing of a site, for existing operations could include demo &amp; re-arranges.</t>
  </si>
  <si>
    <t>m.  Infrastructure work to support installation e.g. building additions,  air compressors, steam boilers, etc.</t>
  </si>
  <si>
    <t>r.  Placing control into operation, adjustments and turn-over of a functioning control system to the facility.</t>
  </si>
  <si>
    <t>s.  Testing to assure the control device and system function as purchased, may include compliance testing.</t>
  </si>
  <si>
    <t>c.  Annual maintenance hours to keep the equipment functioning multiplied by hourly rate.</t>
  </si>
  <si>
    <t>e.  Spare &amp; replacement parts/components purchased, i.e. filters, motors &amp; valves, VFD's, etc.</t>
  </si>
  <si>
    <t>Values</t>
  </si>
  <si>
    <t>Designed Air Flow Capacity, ACFM =</t>
  </si>
  <si>
    <t>Notes:</t>
  </si>
  <si>
    <t>$30/hour</t>
  </si>
  <si>
    <t>$40/hour</t>
  </si>
  <si>
    <t>Oxidizer - Thermal Regenerative</t>
  </si>
  <si>
    <t>(airflow, cfm) x (operating hours) x 100 x 1.08 x $7.00/1,000,000</t>
  </si>
  <si>
    <t>1/</t>
  </si>
  <si>
    <t>2/</t>
  </si>
  <si>
    <t>3/</t>
  </si>
  <si>
    <t>4/</t>
  </si>
  <si>
    <t>0.14(C)</t>
  </si>
  <si>
    <t>0.02(C)</t>
  </si>
  <si>
    <t>0.30(C)+i+m+n</t>
  </si>
  <si>
    <t>0.05(C)</t>
  </si>
  <si>
    <t>0.22(C)</t>
  </si>
  <si>
    <t>(air flow, cfm) x (operating hours) x 3 hp/1000 cfm x 0.746 kWh/hp x $0.08/kWh</t>
  </si>
  <si>
    <t>{Facility Name and Process}</t>
  </si>
  <si>
    <t>{Contaminant Controlled}</t>
  </si>
  <si>
    <t>{Date}</t>
  </si>
  <si>
    <t>Assumes Operating labor of 1/2-hours per shift, 2-shifts per day, 250 days per year at $30/hour.</t>
  </si>
  <si>
    <t>Assumes Maintenance labor of 1/2-hours per shift, 2-shifts per day, 250 days per year at $40/hour.</t>
  </si>
  <si>
    <t>Threshold Risk Reduction Cost (RRC)</t>
  </si>
  <si>
    <t xml:space="preserve">% </t>
  </si>
  <si>
    <t>Threshold of annualized expenditure appropriate in evaluating an exposure risk reduction technique.</t>
  </si>
  <si>
    <t>TRE &lt; 1.0 indicate effective use of control technique, while TRE &gt; 1.0 may indicate ineffective use of resources.</t>
  </si>
  <si>
    <t>f.  Anticipated annual natural gas consumption multiplied by it's cost.</t>
  </si>
  <si>
    <t>ESDM Information</t>
  </si>
  <si>
    <r>
      <t>ug/m</t>
    </r>
    <r>
      <rPr>
        <vertAlign val="superscript"/>
        <sz val="11"/>
        <color indexed="8"/>
        <rFont val="Calibri"/>
        <family val="2"/>
      </rPr>
      <t>3</t>
    </r>
  </si>
  <si>
    <t>%</t>
  </si>
  <si>
    <t>unitless</t>
  </si>
  <si>
    <t>a.  Source Emission Before Change</t>
  </si>
  <si>
    <t>c.  MOE Standard</t>
  </si>
  <si>
    <t>h.  Potential POI Improvement</t>
  </si>
  <si>
    <t>i.  Equivalent Emission Reduction</t>
  </si>
  <si>
    <t>a.  Annual emission estimated for source being evaluated.</t>
  </si>
  <si>
    <t>c.  MOE air quality emission standard for the substance being evaluated.</t>
  </si>
  <si>
    <r>
      <t>b.  Maximum POI concentration, C</t>
    </r>
    <r>
      <rPr>
        <vertAlign val="subscript"/>
        <sz val="11"/>
        <color indexed="8"/>
        <rFont val="Calibri"/>
        <family val="2"/>
      </rPr>
      <t>max</t>
    </r>
  </si>
  <si>
    <r>
      <t>e.  Consequence Score, W</t>
    </r>
    <r>
      <rPr>
        <vertAlign val="subscript"/>
        <sz val="11"/>
        <color indexed="8"/>
        <rFont val="Calibri"/>
        <family val="2"/>
      </rPr>
      <t>cs</t>
    </r>
  </si>
  <si>
    <t>f.  Risk Quotient, RQ</t>
  </si>
  <si>
    <t>e.  GIASO Table A-1 substance specific consequence category converted into a weighting factor.</t>
  </si>
  <si>
    <t>f.  Unitless factor to scale the magnitude of the exceedence.</t>
  </si>
  <si>
    <t>b/c</t>
  </si>
  <si>
    <r>
      <t>g. Unitless factor to scale the magnitude, consequence and frequency of the exceedence,  R = RQ x 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x W</t>
    </r>
    <r>
      <rPr>
        <vertAlign val="subscript"/>
        <sz val="8"/>
        <color indexed="8"/>
        <rFont val="Calibri"/>
        <family val="2"/>
      </rPr>
      <t>L</t>
    </r>
    <r>
      <rPr>
        <sz val="8"/>
        <color indexed="8"/>
        <rFont val="Calibri"/>
        <family val="2"/>
      </rPr>
      <t xml:space="preserve"> </t>
    </r>
  </si>
  <si>
    <t>g.  Risk Score, R</t>
  </si>
  <si>
    <t>a x (h/100)</t>
  </si>
  <si>
    <r>
      <t>i x g x 10</t>
    </r>
    <r>
      <rPr>
        <vertAlign val="superscript"/>
        <sz val="11"/>
        <color indexed="8"/>
        <rFont val="Calibri"/>
        <family val="2"/>
      </rPr>
      <t>4</t>
    </r>
  </si>
  <si>
    <t>5/</t>
  </si>
  <si>
    <r>
      <t>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:  Major Health = 1.43</t>
    </r>
  </si>
  <si>
    <t xml:space="preserve">            Medium Health = 1.00</t>
  </si>
  <si>
    <t xml:space="preserve">            Minor Health or Environmental = 0.86</t>
  </si>
  <si>
    <t xml:space="preserve">            Operating Hours =</t>
  </si>
  <si>
    <t>h.  POI improvement may result from material or process change or add-on control device (control efficiency).</t>
  </si>
  <si>
    <t>i.  Potential annual tonnes of substance reduced by control technique being evaluated.</t>
  </si>
  <si>
    <t>Summation of direct annual commodity costs, a. through g.</t>
  </si>
  <si>
    <t>Total Annual Cost Savings (SAV)</t>
  </si>
  <si>
    <t>Annual cost savings (e.g. in energy, chemicals, etc.) resulting fom implementing POI reduction option.</t>
  </si>
  <si>
    <r>
      <t>d.  Frequency of Exceedence, W</t>
    </r>
    <r>
      <rPr>
        <vertAlign val="subscript"/>
        <sz val="11"/>
        <color indexed="8"/>
        <rFont val="Calibri"/>
        <family val="2"/>
      </rPr>
      <t>l</t>
    </r>
  </si>
  <si>
    <t>Addition of annualized capital and O &amp; M costs less cost savings.</t>
  </si>
  <si>
    <t>Total Annual Revenue (REV)</t>
  </si>
  <si>
    <t>Annual revenues resulting from POI reduction option (e.g. sale of residuals or productivity improvements).</t>
  </si>
  <si>
    <t>CRC + OMC - SAV -REV</t>
  </si>
  <si>
    <t>February 23, 2009</t>
  </si>
  <si>
    <t>t.  Provision for unanticipated cost increases (such as price increases on steel, weather delays, etc.).</t>
  </si>
  <si>
    <t>g.  Anticipated annual electricity usage multiplied by its cost.</t>
  </si>
  <si>
    <t>f x e x (d/100)</t>
  </si>
  <si>
    <t>b.  Dispersion model predicted off-property maximum or sensitive receptor POI Concentration, side wide basis.</t>
  </si>
  <si>
    <t>d.  Percentage of time the model predicts an exceedence of the MOE standard, on a site wide basis.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</si>
</sst>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#,##0.0"/>
    <numFmt numFmtId="174" formatCode="0.0%"/>
    <numFmt numFmtId="175" formatCode="0.0"/>
    <numFmt numFmtId="176" formatCode="[$-409]dddd\,\ mmmm\ dd\,\ yyyy"/>
    <numFmt numFmtId="177" formatCode="[$-F800]dddd\,\ mmmm\ dd\,\ yyyy"/>
    <numFmt numFmtId="178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78" fontId="8" fillId="0" borderId="10" xfId="0" applyNumberFormat="1" applyFont="1" applyBorder="1" applyAlignment="1">
      <alignment horizontal="centerContinuous"/>
    </xf>
    <xf numFmtId="178" fontId="0" fillId="0" borderId="18" xfId="0" applyNumberForma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0"/>
  <sheetViews>
    <sheetView tabSelected="1" zoomScalePageLayoutView="0" workbookViewId="0" topLeftCell="A41">
      <selection activeCell="G64" sqref="G64"/>
    </sheetView>
  </sheetViews>
  <sheetFormatPr defaultColWidth="9.140625" defaultRowHeight="15"/>
  <cols>
    <col min="1" max="1" width="1.8515625" style="0" customWidth="1"/>
    <col min="2" max="2" width="3.00390625" style="0" customWidth="1"/>
    <col min="3" max="3" width="34.28125" style="0" customWidth="1"/>
    <col min="4" max="4" width="19.8515625" style="0" customWidth="1"/>
    <col min="5" max="5" width="10.8515625" style="0" customWidth="1"/>
    <col min="6" max="6" width="2.7109375" style="0" customWidth="1"/>
    <col min="7" max="13" width="10.7109375" style="0" customWidth="1"/>
    <col min="14" max="14" width="4.8515625" style="0" customWidth="1"/>
  </cols>
  <sheetData>
    <row r="1" ht="15.75" thickBot="1"/>
    <row r="2" spans="2:14" ht="18.75">
      <c r="B2" s="16" t="s">
        <v>124</v>
      </c>
      <c r="C2" s="14"/>
      <c r="D2" s="14"/>
      <c r="E2" s="14"/>
      <c r="F2" s="14"/>
      <c r="G2" s="14"/>
      <c r="H2" s="1"/>
      <c r="I2" s="1"/>
      <c r="J2" s="1"/>
      <c r="K2" s="1"/>
      <c r="L2" s="49" t="s">
        <v>126</v>
      </c>
      <c r="M2" s="50"/>
      <c r="N2" s="3"/>
    </row>
    <row r="3" spans="2:14" ht="16.5" thickBot="1">
      <c r="B3" s="17" t="s">
        <v>112</v>
      </c>
      <c r="C3" s="15"/>
      <c r="D3" s="15"/>
      <c r="E3" s="15"/>
      <c r="F3" s="15"/>
      <c r="G3" s="15"/>
      <c r="H3" s="3"/>
      <c r="I3" s="3"/>
      <c r="J3" s="3"/>
      <c r="K3" s="3"/>
      <c r="L3" s="18" t="s">
        <v>125</v>
      </c>
      <c r="M3" s="4"/>
      <c r="N3" s="3"/>
    </row>
    <row r="4" spans="2:14" ht="16.5" thickBot="1">
      <c r="B4" s="24" t="s">
        <v>108</v>
      </c>
      <c r="C4" s="3"/>
      <c r="D4" s="48"/>
      <c r="E4" s="25" t="s">
        <v>158</v>
      </c>
      <c r="F4" s="20"/>
      <c r="G4" s="45"/>
      <c r="H4" s="48"/>
      <c r="I4" s="3"/>
      <c r="J4" s="3"/>
      <c r="K4" s="3"/>
      <c r="L4" s="3"/>
      <c r="M4" s="4"/>
      <c r="N4" s="3"/>
    </row>
    <row r="5" spans="2:14" ht="15">
      <c r="B5" s="13" t="s">
        <v>24</v>
      </c>
      <c r="C5" s="3"/>
      <c r="D5" s="3"/>
      <c r="E5" s="21" t="s">
        <v>107</v>
      </c>
      <c r="F5" s="20"/>
      <c r="G5" s="21" t="s">
        <v>74</v>
      </c>
      <c r="H5" s="21"/>
      <c r="I5" s="21"/>
      <c r="J5" s="21"/>
      <c r="K5" s="21"/>
      <c r="L5" s="21"/>
      <c r="M5" s="22"/>
      <c r="N5" s="3"/>
    </row>
    <row r="6" spans="2:14" ht="15">
      <c r="B6" s="2"/>
      <c r="C6" s="5" t="s">
        <v>0</v>
      </c>
      <c r="D6" s="3"/>
      <c r="E6" s="3"/>
      <c r="F6" s="3"/>
      <c r="G6" s="3"/>
      <c r="H6" s="3"/>
      <c r="I6" s="3"/>
      <c r="J6" s="3"/>
      <c r="K6" s="3"/>
      <c r="L6" s="3"/>
      <c r="M6" s="4"/>
      <c r="N6" s="3"/>
    </row>
    <row r="7" spans="2:14" ht="15">
      <c r="B7" s="2"/>
      <c r="C7" s="3" t="s">
        <v>1</v>
      </c>
      <c r="D7" s="3" t="s">
        <v>53</v>
      </c>
      <c r="E7" s="6">
        <v>0</v>
      </c>
      <c r="F7" s="32"/>
      <c r="G7" s="7" t="s">
        <v>70</v>
      </c>
      <c r="H7" s="3"/>
      <c r="I7" s="3"/>
      <c r="J7" s="3"/>
      <c r="K7" s="3"/>
      <c r="L7" s="3"/>
      <c r="M7" s="4"/>
      <c r="N7" s="3"/>
    </row>
    <row r="8" spans="2:14" ht="15">
      <c r="B8" s="2"/>
      <c r="C8" s="3" t="s">
        <v>2</v>
      </c>
      <c r="D8" s="3" t="s">
        <v>53</v>
      </c>
      <c r="E8" s="6">
        <v>0</v>
      </c>
      <c r="F8" s="32"/>
      <c r="G8" s="7" t="s">
        <v>71</v>
      </c>
      <c r="H8" s="3"/>
      <c r="I8" s="3"/>
      <c r="J8" s="3"/>
      <c r="K8" s="3"/>
      <c r="L8" s="3"/>
      <c r="M8" s="4"/>
      <c r="N8" s="3"/>
    </row>
    <row r="9" spans="2:14" ht="15">
      <c r="B9" s="2"/>
      <c r="C9" s="3" t="s">
        <v>3</v>
      </c>
      <c r="D9" s="3" t="s">
        <v>36</v>
      </c>
      <c r="E9" s="6">
        <f>IF($E$7+$E$8=0,0,0.1*($E$7+$E$8))</f>
        <v>0</v>
      </c>
      <c r="F9" s="32"/>
      <c r="G9" s="7" t="s">
        <v>99</v>
      </c>
      <c r="H9" s="3"/>
      <c r="I9" s="3"/>
      <c r="J9" s="3"/>
      <c r="K9" s="3"/>
      <c r="L9" s="3"/>
      <c r="M9" s="4"/>
      <c r="N9" s="3"/>
    </row>
    <row r="10" spans="2:14" ht="15">
      <c r="B10" s="2"/>
      <c r="C10" s="3" t="s">
        <v>4</v>
      </c>
      <c r="D10" s="3" t="s">
        <v>37</v>
      </c>
      <c r="E10" s="6">
        <f>IF($E$7+$E$8=0,0,0.13*($E$7+$E$8))</f>
        <v>0</v>
      </c>
      <c r="F10" s="32"/>
      <c r="G10" s="7" t="s">
        <v>72</v>
      </c>
      <c r="H10" s="3"/>
      <c r="I10" s="3"/>
      <c r="J10" s="3"/>
      <c r="K10" s="3"/>
      <c r="L10" s="3"/>
      <c r="M10" s="4"/>
      <c r="N10" s="3"/>
    </row>
    <row r="11" spans="2:14" ht="15">
      <c r="B11" s="2"/>
      <c r="C11" s="3" t="s">
        <v>5</v>
      </c>
      <c r="D11" s="3" t="s">
        <v>38</v>
      </c>
      <c r="E11" s="6">
        <f>IF($E$7+$E$8=0,0,0.05*($E$7+$E$8))</f>
        <v>0</v>
      </c>
      <c r="F11" s="32"/>
      <c r="G11" s="7" t="s">
        <v>73</v>
      </c>
      <c r="H11" s="3"/>
      <c r="I11" s="3"/>
      <c r="J11" s="3"/>
      <c r="K11" s="3"/>
      <c r="L11" s="3"/>
      <c r="M11" s="4"/>
      <c r="N11" s="3"/>
    </row>
    <row r="12" spans="2:14" ht="15">
      <c r="B12" s="2"/>
      <c r="C12" s="23" t="s">
        <v>6</v>
      </c>
      <c r="D12" s="3" t="s">
        <v>39</v>
      </c>
      <c r="E12" s="6">
        <f>SUM(E7:E11)</f>
        <v>0</v>
      </c>
      <c r="F12" s="32"/>
      <c r="G12" s="7" t="s">
        <v>69</v>
      </c>
      <c r="H12" s="3"/>
      <c r="I12" s="3"/>
      <c r="J12" s="3"/>
      <c r="K12" s="3"/>
      <c r="L12" s="3"/>
      <c r="M12" s="4"/>
      <c r="N12" s="3"/>
    </row>
    <row r="13" spans="2:14" ht="15">
      <c r="B13" s="2"/>
      <c r="C13" s="3"/>
      <c r="D13" s="3"/>
      <c r="E13" s="6"/>
      <c r="F13" s="32"/>
      <c r="G13" s="7"/>
      <c r="H13" s="3"/>
      <c r="I13" s="3"/>
      <c r="J13" s="3"/>
      <c r="K13" s="3"/>
      <c r="L13" s="3"/>
      <c r="M13" s="4"/>
      <c r="N13" s="3"/>
    </row>
    <row r="14" spans="2:14" ht="15">
      <c r="B14" s="2"/>
      <c r="C14" s="5" t="s">
        <v>7</v>
      </c>
      <c r="D14" s="3"/>
      <c r="E14" s="6"/>
      <c r="F14" s="32"/>
      <c r="G14" s="7"/>
      <c r="H14" s="3"/>
      <c r="I14" s="3"/>
      <c r="J14" s="3"/>
      <c r="K14" s="3"/>
      <c r="L14" s="3"/>
      <c r="M14" s="4"/>
      <c r="N14" s="3"/>
    </row>
    <row r="15" spans="2:14" ht="15">
      <c r="B15" s="2"/>
      <c r="C15" s="3" t="s">
        <v>8</v>
      </c>
      <c r="D15" s="3" t="s">
        <v>40</v>
      </c>
      <c r="E15" s="6">
        <f>IF($E$12=0,0,0.08*$E$12)</f>
        <v>0</v>
      </c>
      <c r="F15" s="32"/>
      <c r="G15" s="7" t="s">
        <v>75</v>
      </c>
      <c r="H15" s="3"/>
      <c r="I15" s="3"/>
      <c r="J15" s="3"/>
      <c r="K15" s="3"/>
      <c r="L15" s="3"/>
      <c r="M15" s="4"/>
      <c r="N15" s="3"/>
    </row>
    <row r="16" spans="2:14" ht="15">
      <c r="B16" s="2"/>
      <c r="C16" s="3" t="s">
        <v>9</v>
      </c>
      <c r="D16" s="3" t="s">
        <v>118</v>
      </c>
      <c r="E16" s="6">
        <f>IF($E$12=0,0,0.14*$E$12)</f>
        <v>0</v>
      </c>
      <c r="F16" s="32"/>
      <c r="G16" s="7" t="s">
        <v>100</v>
      </c>
      <c r="H16" s="3"/>
      <c r="I16" s="3"/>
      <c r="J16" s="3"/>
      <c r="K16" s="3"/>
      <c r="L16" s="3"/>
      <c r="M16" s="4"/>
      <c r="N16" s="3"/>
    </row>
    <row r="17" spans="2:14" ht="15">
      <c r="B17" s="2"/>
      <c r="C17" s="3" t="s">
        <v>10</v>
      </c>
      <c r="D17" s="3" t="s">
        <v>41</v>
      </c>
      <c r="E17" s="6">
        <f>IF($E$12=0,0,0.04*$E$12)</f>
        <v>0</v>
      </c>
      <c r="F17" s="32"/>
      <c r="G17" s="7" t="s">
        <v>76</v>
      </c>
      <c r="H17" s="3"/>
      <c r="I17" s="3"/>
      <c r="J17" s="3"/>
      <c r="K17" s="3"/>
      <c r="L17" s="3"/>
      <c r="M17" s="4"/>
      <c r="N17" s="3"/>
    </row>
    <row r="18" spans="2:14" ht="15">
      <c r="B18" s="2"/>
      <c r="C18" s="3" t="s">
        <v>11</v>
      </c>
      <c r="D18" s="3" t="s">
        <v>119</v>
      </c>
      <c r="E18" s="6">
        <f>IF($E$12=0,0,0.02*$E$12)</f>
        <v>0</v>
      </c>
      <c r="F18" s="32"/>
      <c r="G18" s="7" t="s">
        <v>77</v>
      </c>
      <c r="H18" s="3"/>
      <c r="I18" s="3"/>
      <c r="J18" s="3"/>
      <c r="K18" s="3"/>
      <c r="L18" s="3"/>
      <c r="M18" s="4"/>
      <c r="N18" s="3"/>
    </row>
    <row r="19" spans="2:14" ht="15">
      <c r="B19" s="2"/>
      <c r="C19" s="3" t="s">
        <v>12</v>
      </c>
      <c r="D19" s="3" t="s">
        <v>42</v>
      </c>
      <c r="E19" s="6">
        <f>IF($E$12=0,0,0.01*$E$12)</f>
        <v>0</v>
      </c>
      <c r="F19" s="32"/>
      <c r="G19" s="7" t="s">
        <v>78</v>
      </c>
      <c r="H19" s="3"/>
      <c r="I19" s="3"/>
      <c r="J19" s="3"/>
      <c r="K19" s="3"/>
      <c r="L19" s="3"/>
      <c r="M19" s="4"/>
      <c r="N19" s="3"/>
    </row>
    <row r="20" spans="2:14" ht="15">
      <c r="B20" s="2"/>
      <c r="C20" s="3" t="s">
        <v>13</v>
      </c>
      <c r="D20" s="3" t="s">
        <v>42</v>
      </c>
      <c r="E20" s="6">
        <f>IF($E$12=0,0,0.01*$E$12)</f>
        <v>0</v>
      </c>
      <c r="F20" s="32"/>
      <c r="G20" s="7" t="s">
        <v>79</v>
      </c>
      <c r="H20" s="3"/>
      <c r="I20" s="3"/>
      <c r="J20" s="3"/>
      <c r="K20" s="3"/>
      <c r="L20" s="3"/>
      <c r="M20" s="4"/>
      <c r="N20" s="3"/>
    </row>
    <row r="21" spans="2:14" ht="15">
      <c r="B21" s="2"/>
      <c r="C21" s="3" t="s">
        <v>14</v>
      </c>
      <c r="D21" s="3" t="s">
        <v>43</v>
      </c>
      <c r="E21" s="6">
        <v>0</v>
      </c>
      <c r="F21" s="32"/>
      <c r="G21" s="7" t="s">
        <v>101</v>
      </c>
      <c r="H21" s="3"/>
      <c r="I21" s="3"/>
      <c r="J21" s="3"/>
      <c r="K21" s="3"/>
      <c r="L21" s="3"/>
      <c r="M21" s="4"/>
      <c r="N21" s="3"/>
    </row>
    <row r="22" spans="2:14" ht="15">
      <c r="B22" s="2"/>
      <c r="C22" s="3" t="s">
        <v>15</v>
      </c>
      <c r="D22" s="3" t="s">
        <v>43</v>
      </c>
      <c r="E22" s="6">
        <v>0</v>
      </c>
      <c r="F22" s="32"/>
      <c r="G22" s="7" t="s">
        <v>102</v>
      </c>
      <c r="H22" s="3"/>
      <c r="I22" s="3"/>
      <c r="J22" s="3"/>
      <c r="K22" s="3"/>
      <c r="L22" s="3"/>
      <c r="M22" s="4"/>
      <c r="N22" s="3"/>
    </row>
    <row r="23" spans="2:14" ht="15">
      <c r="B23" s="2"/>
      <c r="C23" s="3" t="s">
        <v>16</v>
      </c>
      <c r="D23" s="3" t="s">
        <v>43</v>
      </c>
      <c r="E23" s="6">
        <v>0</v>
      </c>
      <c r="F23" s="32"/>
      <c r="G23" s="7" t="s">
        <v>81</v>
      </c>
      <c r="H23" s="3"/>
      <c r="I23" s="3"/>
      <c r="J23" s="3"/>
      <c r="K23" s="3"/>
      <c r="L23" s="3"/>
      <c r="M23" s="4"/>
      <c r="N23" s="3"/>
    </row>
    <row r="24" spans="2:14" ht="15">
      <c r="B24" s="2"/>
      <c r="C24" s="23" t="s">
        <v>46</v>
      </c>
      <c r="D24" s="3" t="s">
        <v>120</v>
      </c>
      <c r="E24" s="6">
        <f>SUM(E15:E23)</f>
        <v>0</v>
      </c>
      <c r="F24" s="32"/>
      <c r="G24" s="7" t="s">
        <v>82</v>
      </c>
      <c r="H24" s="3"/>
      <c r="I24" s="3"/>
      <c r="J24" s="3"/>
      <c r="K24" s="3"/>
      <c r="L24" s="3"/>
      <c r="M24" s="4"/>
      <c r="N24" s="3"/>
    </row>
    <row r="25" spans="2:14" ht="15">
      <c r="B25" s="2"/>
      <c r="C25" s="3"/>
      <c r="D25" s="3"/>
      <c r="E25" s="6"/>
      <c r="F25" s="32"/>
      <c r="G25" s="7"/>
      <c r="H25" s="3"/>
      <c r="I25" s="3"/>
      <c r="J25" s="3"/>
      <c r="K25" s="3"/>
      <c r="L25" s="3"/>
      <c r="M25" s="4"/>
      <c r="N25" s="3"/>
    </row>
    <row r="26" spans="2:14" ht="15">
      <c r="B26" s="2"/>
      <c r="C26" s="5" t="s">
        <v>17</v>
      </c>
      <c r="D26" s="3"/>
      <c r="E26" s="6"/>
      <c r="F26" s="32"/>
      <c r="G26" s="7"/>
      <c r="H26" s="3"/>
      <c r="I26" s="3"/>
      <c r="J26" s="3"/>
      <c r="K26" s="3"/>
      <c r="L26" s="3"/>
      <c r="M26" s="4"/>
      <c r="N26" s="3"/>
    </row>
    <row r="27" spans="2:14" ht="15">
      <c r="B27" s="2"/>
      <c r="C27" s="3" t="s">
        <v>19</v>
      </c>
      <c r="D27" s="3" t="s">
        <v>42</v>
      </c>
      <c r="E27" s="6">
        <f>IF($E$12=0,0,0.01*$E$12)</f>
        <v>0</v>
      </c>
      <c r="F27" s="32"/>
      <c r="G27" s="7" t="s">
        <v>83</v>
      </c>
      <c r="H27" s="3"/>
      <c r="I27" s="3"/>
      <c r="J27" s="3"/>
      <c r="K27" s="3"/>
      <c r="L27" s="3"/>
      <c r="M27" s="4"/>
      <c r="N27" s="3"/>
    </row>
    <row r="28" spans="2:14" ht="15">
      <c r="B28" s="2"/>
      <c r="C28" s="3" t="s">
        <v>18</v>
      </c>
      <c r="D28" s="3" t="s">
        <v>121</v>
      </c>
      <c r="E28" s="6">
        <f>IF($E$12=0,0,0.05*$E$12)</f>
        <v>0</v>
      </c>
      <c r="F28" s="32"/>
      <c r="G28" s="7" t="s">
        <v>84</v>
      </c>
      <c r="H28" s="3"/>
      <c r="I28" s="3"/>
      <c r="J28" s="3"/>
      <c r="K28" s="3"/>
      <c r="L28" s="3"/>
      <c r="M28" s="4"/>
      <c r="N28" s="3"/>
    </row>
    <row r="29" spans="2:14" ht="15">
      <c r="B29" s="2"/>
      <c r="C29" s="3" t="s">
        <v>20</v>
      </c>
      <c r="D29" s="3" t="s">
        <v>44</v>
      </c>
      <c r="E29" s="6">
        <f>IF($E$12=0,0,0.1*$E$12)</f>
        <v>0</v>
      </c>
      <c r="F29" s="32"/>
      <c r="G29" s="7" t="s">
        <v>85</v>
      </c>
      <c r="H29" s="3"/>
      <c r="I29" s="3"/>
      <c r="J29" s="3"/>
      <c r="K29" s="3"/>
      <c r="L29" s="3"/>
      <c r="M29" s="4"/>
      <c r="N29" s="3"/>
    </row>
    <row r="30" spans="2:14" ht="15">
      <c r="B30" s="2"/>
      <c r="C30" s="3" t="s">
        <v>21</v>
      </c>
      <c r="D30" s="3" t="s">
        <v>119</v>
      </c>
      <c r="E30" s="6">
        <f>IF($E$12=0,0,0.02*$E$12)</f>
        <v>0</v>
      </c>
      <c r="F30" s="32"/>
      <c r="G30" s="7" t="s">
        <v>103</v>
      </c>
      <c r="H30" s="3"/>
      <c r="I30" s="3"/>
      <c r="J30" s="3"/>
      <c r="K30" s="3"/>
      <c r="L30" s="3"/>
      <c r="M30" s="4"/>
      <c r="N30" s="3"/>
    </row>
    <row r="31" spans="2:14" ht="15">
      <c r="B31" s="2"/>
      <c r="C31" s="3" t="s">
        <v>22</v>
      </c>
      <c r="D31" s="3" t="s">
        <v>42</v>
      </c>
      <c r="E31" s="6">
        <f>IF($E$12=0,0,0.01*$E$12)</f>
        <v>0</v>
      </c>
      <c r="F31" s="32"/>
      <c r="G31" s="7" t="s">
        <v>104</v>
      </c>
      <c r="H31" s="3"/>
      <c r="I31" s="3"/>
      <c r="J31" s="3"/>
      <c r="K31" s="3"/>
      <c r="L31" s="3"/>
      <c r="M31" s="4"/>
      <c r="N31" s="3"/>
    </row>
    <row r="32" spans="2:14" ht="15">
      <c r="B32" s="2"/>
      <c r="C32" s="3" t="s">
        <v>23</v>
      </c>
      <c r="D32" s="3" t="s">
        <v>45</v>
      </c>
      <c r="E32" s="6">
        <f>IF($E$12=0,0,0.03*$E$12)</f>
        <v>0</v>
      </c>
      <c r="F32" s="32"/>
      <c r="G32" s="7" t="s">
        <v>170</v>
      </c>
      <c r="H32" s="3"/>
      <c r="I32" s="3"/>
      <c r="J32" s="3"/>
      <c r="K32" s="3"/>
      <c r="L32" s="3"/>
      <c r="M32" s="4"/>
      <c r="N32" s="3"/>
    </row>
    <row r="33" spans="2:14" ht="15">
      <c r="B33" s="2"/>
      <c r="C33" s="23" t="s">
        <v>47</v>
      </c>
      <c r="D33" s="3" t="s">
        <v>122</v>
      </c>
      <c r="E33" s="6">
        <f>SUM(E27:E32)</f>
        <v>0</v>
      </c>
      <c r="F33" s="32"/>
      <c r="G33" s="7" t="s">
        <v>86</v>
      </c>
      <c r="H33" s="3"/>
      <c r="I33" s="3"/>
      <c r="J33" s="3"/>
      <c r="K33" s="3"/>
      <c r="L33" s="3"/>
      <c r="M33" s="4"/>
      <c r="N33" s="3"/>
    </row>
    <row r="34" spans="2:14" ht="15">
      <c r="B34" s="13" t="s">
        <v>48</v>
      </c>
      <c r="C34" s="3"/>
      <c r="D34" s="3" t="s">
        <v>55</v>
      </c>
      <c r="E34" s="6">
        <f>(E12+E24+E33)</f>
        <v>0</v>
      </c>
      <c r="F34" s="32"/>
      <c r="G34" s="7" t="s">
        <v>87</v>
      </c>
      <c r="H34" s="3"/>
      <c r="I34" s="3"/>
      <c r="J34" s="3"/>
      <c r="K34" s="3"/>
      <c r="L34" s="3"/>
      <c r="M34" s="4"/>
      <c r="N34" s="3"/>
    </row>
    <row r="35" spans="2:14" ht="15">
      <c r="B35" s="13" t="s">
        <v>49</v>
      </c>
      <c r="C35" s="3"/>
      <c r="D35" s="3" t="s">
        <v>54</v>
      </c>
      <c r="E35" s="6">
        <f>IF(E34=0,0,0.13587*E34)</f>
        <v>0</v>
      </c>
      <c r="F35" s="32"/>
      <c r="G35" s="7" t="s">
        <v>88</v>
      </c>
      <c r="H35" s="3"/>
      <c r="I35" s="3"/>
      <c r="J35" s="3"/>
      <c r="K35" s="3"/>
      <c r="L35" s="3"/>
      <c r="M35" s="4"/>
      <c r="N35" s="3"/>
    </row>
    <row r="36" spans="2:14" ht="15">
      <c r="B36" s="2"/>
      <c r="C36" s="3"/>
      <c r="D36" s="3"/>
      <c r="E36" s="6"/>
      <c r="F36" s="32"/>
      <c r="G36" s="7"/>
      <c r="H36" s="3"/>
      <c r="I36" s="3"/>
      <c r="J36" s="3"/>
      <c r="K36" s="3"/>
      <c r="L36" s="3"/>
      <c r="M36" s="4"/>
      <c r="N36" s="3"/>
    </row>
    <row r="37" spans="2:14" ht="15">
      <c r="B37" s="13" t="s">
        <v>93</v>
      </c>
      <c r="C37" s="3"/>
      <c r="D37" s="3"/>
      <c r="E37" s="6"/>
      <c r="F37" s="32"/>
      <c r="G37" s="7"/>
      <c r="H37" s="3"/>
      <c r="I37" s="3"/>
      <c r="J37" s="3"/>
      <c r="K37" s="3"/>
      <c r="L37" s="3"/>
      <c r="M37" s="4"/>
      <c r="N37" s="3"/>
    </row>
    <row r="38" spans="2:14" ht="15">
      <c r="B38" s="2"/>
      <c r="C38" s="5" t="s">
        <v>25</v>
      </c>
      <c r="D38" s="3"/>
      <c r="E38" s="6"/>
      <c r="F38" s="32"/>
      <c r="G38" s="7"/>
      <c r="H38" s="3"/>
      <c r="I38" s="3"/>
      <c r="J38" s="3"/>
      <c r="K38" s="3"/>
      <c r="L38" s="3"/>
      <c r="M38" s="4"/>
      <c r="N38" s="3"/>
    </row>
    <row r="39" spans="2:14" ht="17.25">
      <c r="B39" s="2"/>
      <c r="C39" s="3" t="s">
        <v>60</v>
      </c>
      <c r="D39" s="3" t="s">
        <v>110</v>
      </c>
      <c r="E39" s="6">
        <f>IF($E$7&gt;0,0.5*2*240*30,0)</f>
        <v>0</v>
      </c>
      <c r="F39" s="28" t="s">
        <v>114</v>
      </c>
      <c r="G39" s="7" t="s">
        <v>89</v>
      </c>
      <c r="H39" s="3"/>
      <c r="I39" s="3"/>
      <c r="J39" s="3"/>
      <c r="K39" s="3"/>
      <c r="L39" s="3"/>
      <c r="M39" s="4"/>
      <c r="N39" s="3"/>
    </row>
    <row r="40" spans="2:14" ht="17.25">
      <c r="B40" s="2"/>
      <c r="C40" s="3" t="s">
        <v>64</v>
      </c>
      <c r="D40" s="3" t="s">
        <v>65</v>
      </c>
      <c r="E40" s="6">
        <f>IF(E39&gt;0,0.15*E39,0)</f>
        <v>0</v>
      </c>
      <c r="F40" s="28"/>
      <c r="G40" s="7" t="s">
        <v>90</v>
      </c>
      <c r="H40" s="3"/>
      <c r="I40" s="3"/>
      <c r="J40" s="3"/>
      <c r="K40" s="3"/>
      <c r="L40" s="3"/>
      <c r="M40" s="4"/>
      <c r="N40" s="3"/>
    </row>
    <row r="41" spans="2:14" ht="17.25">
      <c r="B41" s="2"/>
      <c r="C41" s="3" t="s">
        <v>61</v>
      </c>
      <c r="D41" s="3" t="s">
        <v>111</v>
      </c>
      <c r="E41" s="6">
        <f>IF($E$7&gt;0,0.5*2*240*40,0)</f>
        <v>0</v>
      </c>
      <c r="F41" s="28" t="s">
        <v>115</v>
      </c>
      <c r="G41" s="7" t="s">
        <v>105</v>
      </c>
      <c r="H41" s="3"/>
      <c r="I41" s="3"/>
      <c r="J41" s="3"/>
      <c r="K41" s="3"/>
      <c r="L41" s="3"/>
      <c r="M41" s="4"/>
      <c r="N41" s="3"/>
    </row>
    <row r="42" spans="2:14" ht="17.25">
      <c r="B42" s="2"/>
      <c r="C42" s="3" t="s">
        <v>62</v>
      </c>
      <c r="D42" s="3" t="s">
        <v>63</v>
      </c>
      <c r="E42" s="6">
        <f>IF(E41&gt;0,E41,0)</f>
        <v>0</v>
      </c>
      <c r="F42" s="28"/>
      <c r="G42" s="7" t="s">
        <v>91</v>
      </c>
      <c r="H42" s="3"/>
      <c r="I42" s="3"/>
      <c r="J42" s="3"/>
      <c r="K42" s="3"/>
      <c r="L42" s="3"/>
      <c r="M42" s="4"/>
      <c r="N42" s="3"/>
    </row>
    <row r="43" spans="2:14" ht="17.25">
      <c r="B43" s="2"/>
      <c r="C43" s="23" t="s">
        <v>26</v>
      </c>
      <c r="D43" s="3"/>
      <c r="E43" s="6">
        <f>SUM(E39:E42)</f>
        <v>0</v>
      </c>
      <c r="F43" s="28"/>
      <c r="G43" s="7" t="s">
        <v>92</v>
      </c>
      <c r="H43" s="3"/>
      <c r="I43" s="3"/>
      <c r="J43" s="3"/>
      <c r="K43" s="3"/>
      <c r="L43" s="3"/>
      <c r="M43" s="4"/>
      <c r="N43" s="3"/>
    </row>
    <row r="44" spans="2:14" ht="17.25">
      <c r="B44" s="2"/>
      <c r="C44" s="3"/>
      <c r="D44" s="3"/>
      <c r="E44" s="6"/>
      <c r="F44" s="28"/>
      <c r="G44" s="7"/>
      <c r="H44" s="3"/>
      <c r="I44" s="3"/>
      <c r="J44" s="3"/>
      <c r="K44" s="3"/>
      <c r="L44" s="3"/>
      <c r="M44" s="4"/>
      <c r="N44" s="3"/>
    </row>
    <row r="45" spans="2:14" ht="17.25">
      <c r="B45" s="2"/>
      <c r="C45" s="3" t="s">
        <v>27</v>
      </c>
      <c r="D45" s="3" t="s">
        <v>66</v>
      </c>
      <c r="E45" s="6">
        <v>0</v>
      </c>
      <c r="F45" s="28"/>
      <c r="G45" s="7" t="s">
        <v>106</v>
      </c>
      <c r="H45" s="3"/>
      <c r="I45" s="3"/>
      <c r="J45" s="3"/>
      <c r="K45" s="3"/>
      <c r="L45" s="3"/>
      <c r="M45" s="4"/>
      <c r="N45" s="3"/>
    </row>
    <row r="46" spans="2:14" ht="17.25">
      <c r="B46" s="2"/>
      <c r="C46" s="3" t="s">
        <v>28</v>
      </c>
      <c r="D46" s="3" t="s">
        <v>67</v>
      </c>
      <c r="E46" s="6">
        <f>IF($D$4&gt;0,($D$4*1.08*100*$H$4*7)/1000000,0)</f>
        <v>0</v>
      </c>
      <c r="F46" s="28" t="s">
        <v>116</v>
      </c>
      <c r="G46" s="7" t="s">
        <v>133</v>
      </c>
      <c r="H46" s="3"/>
      <c r="I46" s="3"/>
      <c r="J46" s="3"/>
      <c r="K46" s="3"/>
      <c r="L46" s="3"/>
      <c r="M46" s="4"/>
      <c r="N46" s="3"/>
    </row>
    <row r="47" spans="2:14" ht="17.25">
      <c r="B47" s="2"/>
      <c r="C47" s="3" t="s">
        <v>29</v>
      </c>
      <c r="D47" s="3" t="s">
        <v>68</v>
      </c>
      <c r="E47" s="6">
        <f>IF($E$7&gt;0,(($D$4/1000)*0.746*$H$4*3*0.08),0)</f>
        <v>0</v>
      </c>
      <c r="F47" s="28" t="s">
        <v>117</v>
      </c>
      <c r="G47" s="7" t="s">
        <v>171</v>
      </c>
      <c r="H47" s="3"/>
      <c r="I47" s="3"/>
      <c r="J47" s="3"/>
      <c r="K47" s="3"/>
      <c r="L47" s="3"/>
      <c r="M47" s="4"/>
      <c r="N47" s="3"/>
    </row>
    <row r="48" spans="2:14" ht="15">
      <c r="B48" s="2"/>
      <c r="C48" s="23" t="s">
        <v>30</v>
      </c>
      <c r="D48" s="3"/>
      <c r="E48" s="6">
        <f>SUM(E45:E47)+$E$43</f>
        <v>0</v>
      </c>
      <c r="F48" s="32"/>
      <c r="G48" s="7" t="s">
        <v>161</v>
      </c>
      <c r="H48" s="3"/>
      <c r="I48" s="3"/>
      <c r="J48" s="3"/>
      <c r="K48" s="3"/>
      <c r="L48" s="3"/>
      <c r="M48" s="4"/>
      <c r="N48" s="3"/>
    </row>
    <row r="49" spans="2:14" ht="15">
      <c r="B49" s="2"/>
      <c r="C49" s="3"/>
      <c r="D49" s="3"/>
      <c r="E49" s="6"/>
      <c r="F49" s="32"/>
      <c r="G49" s="7"/>
      <c r="H49" s="3"/>
      <c r="I49" s="3"/>
      <c r="J49" s="3"/>
      <c r="K49" s="3"/>
      <c r="L49" s="3"/>
      <c r="M49" s="4"/>
      <c r="N49" s="3"/>
    </row>
    <row r="50" spans="2:14" ht="15">
      <c r="B50" s="2"/>
      <c r="C50" s="5" t="s">
        <v>31</v>
      </c>
      <c r="D50" s="3"/>
      <c r="E50" s="6"/>
      <c r="F50" s="32"/>
      <c r="G50" s="7"/>
      <c r="H50" s="3"/>
      <c r="I50" s="3"/>
      <c r="J50" s="3"/>
      <c r="K50" s="3"/>
      <c r="L50" s="3"/>
      <c r="M50" s="4"/>
      <c r="N50" s="3"/>
    </row>
    <row r="51" spans="2:14" ht="15">
      <c r="B51" s="2"/>
      <c r="C51" s="3" t="s">
        <v>32</v>
      </c>
      <c r="D51" s="3" t="s">
        <v>56</v>
      </c>
      <c r="E51" s="6">
        <f>IF($E$43=0,0,0.6*$E$43)</f>
        <v>0</v>
      </c>
      <c r="F51" s="32"/>
      <c r="G51" s="7" t="s">
        <v>94</v>
      </c>
      <c r="H51" s="3"/>
      <c r="I51" s="3"/>
      <c r="J51" s="3"/>
      <c r="K51" s="3"/>
      <c r="L51" s="3"/>
      <c r="M51" s="4"/>
      <c r="N51" s="3"/>
    </row>
    <row r="52" spans="2:14" ht="15">
      <c r="B52" s="2"/>
      <c r="C52" s="3" t="s">
        <v>33</v>
      </c>
      <c r="D52" s="3" t="s">
        <v>57</v>
      </c>
      <c r="E52" s="6">
        <f>IF($E$34=0,0,0.02*$E$34)</f>
        <v>0</v>
      </c>
      <c r="F52" s="32"/>
      <c r="G52" s="7" t="s">
        <v>95</v>
      </c>
      <c r="H52" s="3"/>
      <c r="I52" s="3"/>
      <c r="J52" s="3"/>
      <c r="K52" s="3"/>
      <c r="L52" s="3"/>
      <c r="M52" s="4"/>
      <c r="N52" s="3"/>
    </row>
    <row r="53" spans="2:14" ht="15">
      <c r="B53" s="2"/>
      <c r="C53" s="3" t="s">
        <v>34</v>
      </c>
      <c r="D53" s="3" t="s">
        <v>58</v>
      </c>
      <c r="E53" s="6">
        <f>IF($E$34=0,0,0.01*$E$34)</f>
        <v>0</v>
      </c>
      <c r="F53" s="32"/>
      <c r="G53" s="7" t="s">
        <v>97</v>
      </c>
      <c r="H53" s="3"/>
      <c r="I53" s="3"/>
      <c r="J53" s="3"/>
      <c r="K53" s="3"/>
      <c r="L53" s="3"/>
      <c r="M53" s="4"/>
      <c r="N53" s="3"/>
    </row>
    <row r="54" spans="2:14" ht="15">
      <c r="B54" s="2"/>
      <c r="C54" s="3" t="s">
        <v>35</v>
      </c>
      <c r="D54" s="3" t="s">
        <v>58</v>
      </c>
      <c r="E54" s="6">
        <f>IF($E$34=0,0,0.01*$E$34)</f>
        <v>0</v>
      </c>
      <c r="F54" s="32"/>
      <c r="G54" s="7" t="s">
        <v>96</v>
      </c>
      <c r="H54" s="3"/>
      <c r="I54" s="3"/>
      <c r="J54" s="3"/>
      <c r="K54" s="3"/>
      <c r="L54" s="3"/>
      <c r="M54" s="4"/>
      <c r="N54" s="3"/>
    </row>
    <row r="55" spans="2:14" ht="15">
      <c r="B55" s="13" t="s">
        <v>59</v>
      </c>
      <c r="C55" s="3"/>
      <c r="D55" s="3"/>
      <c r="E55" s="6">
        <f>SUM(E51:E54)+E48</f>
        <v>0</v>
      </c>
      <c r="F55" s="32"/>
      <c r="G55" s="7" t="s">
        <v>98</v>
      </c>
      <c r="H55" s="3"/>
      <c r="I55" s="3"/>
      <c r="J55" s="3"/>
      <c r="K55" s="3"/>
      <c r="L55" s="3"/>
      <c r="M55" s="4"/>
      <c r="N55" s="3"/>
    </row>
    <row r="56" spans="2:14" ht="15">
      <c r="B56" s="13" t="s">
        <v>162</v>
      </c>
      <c r="C56" s="3"/>
      <c r="D56" s="3"/>
      <c r="E56" s="6">
        <v>0</v>
      </c>
      <c r="F56" s="32"/>
      <c r="G56" s="7" t="s">
        <v>163</v>
      </c>
      <c r="H56" s="3"/>
      <c r="I56" s="3"/>
      <c r="J56" s="3"/>
      <c r="K56" s="3"/>
      <c r="L56" s="3"/>
      <c r="M56" s="4"/>
      <c r="N56" s="3"/>
    </row>
    <row r="57" spans="2:14" ht="15">
      <c r="B57" s="13" t="s">
        <v>166</v>
      </c>
      <c r="C57" s="3"/>
      <c r="D57" s="3"/>
      <c r="E57" s="6">
        <v>0</v>
      </c>
      <c r="F57" s="32"/>
      <c r="G57" s="7" t="s">
        <v>167</v>
      </c>
      <c r="H57" s="3"/>
      <c r="I57" s="3"/>
      <c r="J57" s="3"/>
      <c r="K57" s="3"/>
      <c r="L57" s="3"/>
      <c r="M57" s="4"/>
      <c r="N57" s="3"/>
    </row>
    <row r="58" spans="2:14" ht="15">
      <c r="B58" s="13" t="s">
        <v>50</v>
      </c>
      <c r="C58" s="3"/>
      <c r="D58" s="3" t="s">
        <v>168</v>
      </c>
      <c r="E58" s="6">
        <f>E35+E55-E56-E57</f>
        <v>0</v>
      </c>
      <c r="F58" s="32"/>
      <c r="G58" s="7" t="s">
        <v>165</v>
      </c>
      <c r="H58" s="3"/>
      <c r="I58" s="3"/>
      <c r="J58" s="3"/>
      <c r="K58" s="3"/>
      <c r="L58" s="3"/>
      <c r="M58" s="4"/>
      <c r="N58" s="3"/>
    </row>
    <row r="59" spans="2:14" ht="15">
      <c r="B59" s="2"/>
      <c r="C59" s="3"/>
      <c r="D59" s="3"/>
      <c r="E59" s="3"/>
      <c r="F59" s="32"/>
      <c r="G59" s="7"/>
      <c r="H59" s="3"/>
      <c r="I59" s="3"/>
      <c r="J59" s="3"/>
      <c r="K59" s="3"/>
      <c r="L59" s="3"/>
      <c r="M59" s="4"/>
      <c r="N59" s="3"/>
    </row>
    <row r="60" spans="2:14" ht="15">
      <c r="B60" s="13" t="s">
        <v>134</v>
      </c>
      <c r="C60" s="3"/>
      <c r="D60" s="3"/>
      <c r="E60" s="3"/>
      <c r="F60" s="32"/>
      <c r="G60" s="7"/>
      <c r="H60" s="3"/>
      <c r="I60" s="3"/>
      <c r="J60" s="3"/>
      <c r="K60" s="3"/>
      <c r="L60" s="3"/>
      <c r="M60" s="4"/>
      <c r="N60" s="3"/>
    </row>
    <row r="61" spans="2:14" ht="15">
      <c r="B61" s="13"/>
      <c r="C61" s="3" t="s">
        <v>138</v>
      </c>
      <c r="D61" s="3" t="s">
        <v>51</v>
      </c>
      <c r="E61" s="40">
        <v>0</v>
      </c>
      <c r="F61" s="32"/>
      <c r="G61" s="7" t="s">
        <v>142</v>
      </c>
      <c r="H61" s="3"/>
      <c r="I61" s="3"/>
      <c r="J61" s="3"/>
      <c r="K61" s="3"/>
      <c r="L61" s="3"/>
      <c r="M61" s="4"/>
      <c r="N61" s="3"/>
    </row>
    <row r="62" spans="2:14" ht="18.75">
      <c r="B62" s="13"/>
      <c r="C62" s="3" t="s">
        <v>144</v>
      </c>
      <c r="D62" s="3" t="s">
        <v>135</v>
      </c>
      <c r="E62" s="41">
        <v>0</v>
      </c>
      <c r="F62" s="32"/>
      <c r="G62" s="7" t="s">
        <v>173</v>
      </c>
      <c r="H62" s="3"/>
      <c r="I62" s="3"/>
      <c r="J62" s="3"/>
      <c r="K62" s="3"/>
      <c r="L62" s="3"/>
      <c r="M62" s="4"/>
      <c r="N62" s="3"/>
    </row>
    <row r="63" spans="2:14" ht="17.25">
      <c r="B63" s="13"/>
      <c r="C63" s="3" t="s">
        <v>139</v>
      </c>
      <c r="D63" s="3" t="s">
        <v>135</v>
      </c>
      <c r="E63" s="41">
        <v>0</v>
      </c>
      <c r="F63" s="32"/>
      <c r="G63" s="7" t="s">
        <v>143</v>
      </c>
      <c r="H63" s="3"/>
      <c r="I63" s="3"/>
      <c r="J63" s="3"/>
      <c r="K63" s="3"/>
      <c r="L63" s="3"/>
      <c r="M63" s="4"/>
      <c r="N63" s="3"/>
    </row>
    <row r="64" spans="2:14" ht="18">
      <c r="B64" s="13"/>
      <c r="C64" s="3" t="s">
        <v>164</v>
      </c>
      <c r="D64" s="31" t="s">
        <v>136</v>
      </c>
      <c r="E64" s="42">
        <v>0</v>
      </c>
      <c r="F64" s="32"/>
      <c r="G64" s="7" t="s">
        <v>174</v>
      </c>
      <c r="H64" s="3"/>
      <c r="I64" s="3"/>
      <c r="J64" s="3"/>
      <c r="K64" s="3"/>
      <c r="L64" s="3"/>
      <c r="M64" s="4"/>
      <c r="N64" s="3"/>
    </row>
    <row r="65" spans="2:14" ht="18.75">
      <c r="B65" s="13"/>
      <c r="C65" s="3" t="s">
        <v>145</v>
      </c>
      <c r="D65" s="31" t="s">
        <v>137</v>
      </c>
      <c r="E65" s="43">
        <v>0</v>
      </c>
      <c r="F65" s="46" t="s">
        <v>154</v>
      </c>
      <c r="G65" s="7" t="s">
        <v>147</v>
      </c>
      <c r="H65" s="3"/>
      <c r="I65" s="3"/>
      <c r="J65" s="3"/>
      <c r="K65" s="3"/>
      <c r="L65" s="3"/>
      <c r="M65" s="4"/>
      <c r="N65" s="3"/>
    </row>
    <row r="66" spans="2:14" ht="15">
      <c r="B66" s="13"/>
      <c r="C66" s="31" t="s">
        <v>146</v>
      </c>
      <c r="D66" s="31" t="s">
        <v>149</v>
      </c>
      <c r="E66" s="44">
        <f>IF(E63=0,0,E62/E63)</f>
        <v>0</v>
      </c>
      <c r="F66" s="33"/>
      <c r="G66" s="7" t="s">
        <v>148</v>
      </c>
      <c r="H66" s="3"/>
      <c r="I66" s="3"/>
      <c r="J66" s="3"/>
      <c r="K66" s="3"/>
      <c r="L66" s="3"/>
      <c r="M66" s="4"/>
      <c r="N66" s="3"/>
    </row>
    <row r="67" spans="2:14" ht="15">
      <c r="B67" s="2"/>
      <c r="C67" s="3" t="s">
        <v>151</v>
      </c>
      <c r="D67" s="31" t="s">
        <v>172</v>
      </c>
      <c r="E67" s="30">
        <f>E66*E65*E64</f>
        <v>0</v>
      </c>
      <c r="F67" s="32"/>
      <c r="G67" s="7" t="s">
        <v>150</v>
      </c>
      <c r="H67" s="3"/>
      <c r="I67" s="3"/>
      <c r="J67" s="3"/>
      <c r="K67" s="3"/>
      <c r="L67" s="3"/>
      <c r="M67" s="4"/>
      <c r="N67" s="3"/>
    </row>
    <row r="68" spans="2:14" ht="15">
      <c r="B68" s="2"/>
      <c r="C68" s="3" t="s">
        <v>140</v>
      </c>
      <c r="D68" s="3" t="s">
        <v>130</v>
      </c>
      <c r="E68" s="8">
        <v>0</v>
      </c>
      <c r="F68" s="32"/>
      <c r="G68" s="7" t="s">
        <v>159</v>
      </c>
      <c r="H68" s="3"/>
      <c r="I68" s="3"/>
      <c r="J68" s="3"/>
      <c r="K68" s="3"/>
      <c r="L68" s="3"/>
      <c r="M68" s="4"/>
      <c r="N68" s="3"/>
    </row>
    <row r="69" spans="2:14" ht="15">
      <c r="B69" s="2"/>
      <c r="C69" s="3" t="s">
        <v>141</v>
      </c>
      <c r="D69" s="3" t="s">
        <v>152</v>
      </c>
      <c r="E69" s="40">
        <f>E61*E68</f>
        <v>0</v>
      </c>
      <c r="F69" s="32"/>
      <c r="G69" s="7" t="s">
        <v>160</v>
      </c>
      <c r="H69" s="3"/>
      <c r="I69" s="3"/>
      <c r="J69" s="3"/>
      <c r="K69" s="3"/>
      <c r="L69" s="3"/>
      <c r="M69" s="4"/>
      <c r="N69" s="3"/>
    </row>
    <row r="70" spans="2:14" ht="17.25">
      <c r="B70" s="2"/>
      <c r="C70" s="3" t="s">
        <v>129</v>
      </c>
      <c r="D70" s="3" t="s">
        <v>153</v>
      </c>
      <c r="E70" s="6">
        <f>E69*E67*10000</f>
        <v>0</v>
      </c>
      <c r="F70" s="32"/>
      <c r="G70" s="7" t="s">
        <v>131</v>
      </c>
      <c r="H70" s="3"/>
      <c r="I70" s="3"/>
      <c r="J70" s="3"/>
      <c r="K70" s="3"/>
      <c r="L70" s="3"/>
      <c r="M70" s="4"/>
      <c r="N70" s="3"/>
    </row>
    <row r="71" spans="2:14" ht="15.75" thickBot="1">
      <c r="B71" s="19" t="s">
        <v>52</v>
      </c>
      <c r="C71" s="9"/>
      <c r="D71" s="9" t="s">
        <v>80</v>
      </c>
      <c r="E71" s="47">
        <f>IF(E70=0,0,E58/E70)</f>
        <v>0</v>
      </c>
      <c r="F71" s="34"/>
      <c r="G71" s="10" t="s">
        <v>132</v>
      </c>
      <c r="H71" s="9"/>
      <c r="I71" s="9"/>
      <c r="J71" s="9"/>
      <c r="K71" s="9"/>
      <c r="L71" s="9"/>
      <c r="M71" s="11"/>
      <c r="N71" s="3"/>
    </row>
    <row r="72" ht="15">
      <c r="L72" s="12" t="s">
        <v>169</v>
      </c>
    </row>
    <row r="73" spans="2:13" ht="15">
      <c r="B73" s="26" t="s">
        <v>109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5">
      <c r="B74" s="27" t="s">
        <v>114</v>
      </c>
      <c r="C74" s="29" t="s">
        <v>127</v>
      </c>
      <c r="D74" s="26"/>
      <c r="E74" s="26"/>
      <c r="F74" s="26"/>
      <c r="G74" s="35"/>
      <c r="H74" s="3"/>
      <c r="I74" s="7"/>
      <c r="J74" s="7"/>
      <c r="K74" s="7"/>
      <c r="L74" s="36"/>
      <c r="M74" s="36"/>
    </row>
    <row r="75" spans="2:13" ht="15">
      <c r="B75" s="27" t="s">
        <v>115</v>
      </c>
      <c r="C75" s="29" t="s">
        <v>128</v>
      </c>
      <c r="D75" s="26"/>
      <c r="E75" s="26"/>
      <c r="F75" s="26"/>
      <c r="G75" s="35"/>
      <c r="H75" s="7"/>
      <c r="I75" s="7"/>
      <c r="J75" s="7"/>
      <c r="K75" s="7"/>
      <c r="L75" s="7"/>
      <c r="M75" s="7"/>
    </row>
    <row r="76" spans="2:13" ht="15">
      <c r="B76" s="27" t="s">
        <v>116</v>
      </c>
      <c r="C76" s="26" t="s">
        <v>113</v>
      </c>
      <c r="D76" s="26"/>
      <c r="E76" s="26"/>
      <c r="F76" s="26"/>
      <c r="G76" s="35"/>
      <c r="H76" s="7"/>
      <c r="I76" s="7"/>
      <c r="J76" s="7"/>
      <c r="K76" s="7"/>
      <c r="L76" s="7"/>
      <c r="M76" s="37"/>
    </row>
    <row r="77" spans="2:13" ht="15">
      <c r="B77" s="27" t="s">
        <v>117</v>
      </c>
      <c r="C77" s="29" t="s">
        <v>123</v>
      </c>
      <c r="D77" s="26"/>
      <c r="E77" s="26"/>
      <c r="F77" s="26"/>
      <c r="G77" s="35"/>
      <c r="H77" s="7"/>
      <c r="I77" s="7"/>
      <c r="J77" s="7"/>
      <c r="K77" s="7"/>
      <c r="L77" s="7"/>
      <c r="M77" s="7"/>
    </row>
    <row r="78" spans="2:13" ht="15">
      <c r="B78" s="27" t="s">
        <v>154</v>
      </c>
      <c r="C78" s="7" t="s">
        <v>155</v>
      </c>
      <c r="I78" s="7"/>
      <c r="J78" s="7"/>
      <c r="K78" s="7"/>
      <c r="L78" s="37"/>
      <c r="M78" s="38"/>
    </row>
    <row r="79" spans="3:13" ht="15">
      <c r="C79" s="39" t="s">
        <v>156</v>
      </c>
      <c r="H79" s="7"/>
      <c r="I79" s="7"/>
      <c r="J79" s="7"/>
      <c r="K79" s="7"/>
      <c r="L79" s="7"/>
      <c r="M79" s="7"/>
    </row>
    <row r="80" spans="3:13" ht="15">
      <c r="C80" s="39" t="s">
        <v>157</v>
      </c>
      <c r="H80" s="7"/>
      <c r="I80" s="7"/>
      <c r="J80" s="7"/>
      <c r="K80" s="7"/>
      <c r="L80" s="7"/>
      <c r="M80" s="7"/>
    </row>
  </sheetData>
  <sheetProtection/>
  <printOptions/>
  <pageMargins left="0.45" right="0.45" top="0.25" bottom="0.25" header="0.05" footer="0.05"/>
  <pageSetup fitToHeight="1" fitToWidth="1" horizontalDpi="600" verticalDpi="600" orientation="portrait" scale="63" r:id="rId2"/>
  <headerFooter>
    <oddHeader>&amp;L&amp;G</oddHeader>
    <oddFooter>&amp;RECO Environmental
(313) 285-8401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 Karl</dc:creator>
  <cp:keywords/>
  <dc:description/>
  <cp:lastModifiedBy>Singer, Lisa (ENE)</cp:lastModifiedBy>
  <cp:lastPrinted>2009-02-24T13:30:15Z</cp:lastPrinted>
  <dcterms:created xsi:type="dcterms:W3CDTF">2008-05-19T10:36:01Z</dcterms:created>
  <dcterms:modified xsi:type="dcterms:W3CDTF">2013-12-09T17:48:41Z</dcterms:modified>
  <cp:category/>
  <cp:version/>
  <cp:contentType/>
  <cp:contentStatus/>
</cp:coreProperties>
</file>